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 WMP Discovery/TURN/004/"/>
    </mc:Choice>
  </mc:AlternateContent>
  <xr:revisionPtr revIDLastSave="1" documentId="8_{E072857F-D711-4306-8114-A4DF68188F99}" xr6:coauthVersionLast="47" xr6:coauthVersionMax="47" xr10:uidLastSave="{A39982E9-B8B1-4DDF-8994-FFC352F5BC7E}"/>
  <bookViews>
    <workbookView xWindow="780" yWindow="780" windowWidth="15375" windowHeight="7875" xr2:uid="{671DC286-EAD4-43A1-92D7-EC27CDC61171}"/>
  </bookViews>
  <sheets>
    <sheet name="Final Table" sheetId="4" r:id="rId1"/>
    <sheet name="Intermediate Calc Tables" sheetId="1" r:id="rId2"/>
    <sheet name="Input UG" sheetId="3" r:id="rId3"/>
    <sheet name="Input 5yr Lookback and MSO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" l="1"/>
  <c r="G14" i="4"/>
  <c r="F14" i="4"/>
  <c r="E14" i="4"/>
  <c r="D14" i="4"/>
  <c r="B14" i="4"/>
  <c r="A14" i="4"/>
  <c r="H13" i="4"/>
  <c r="G13" i="4"/>
  <c r="F13" i="4"/>
  <c r="E13" i="4"/>
  <c r="D13" i="4"/>
  <c r="B13" i="4"/>
  <c r="A13" i="4"/>
  <c r="H12" i="4"/>
  <c r="G12" i="4"/>
  <c r="F12" i="4"/>
  <c r="E12" i="4"/>
  <c r="D12" i="4"/>
  <c r="B12" i="4"/>
  <c r="A12" i="4"/>
  <c r="H11" i="4"/>
  <c r="G11" i="4"/>
  <c r="F11" i="4"/>
  <c r="E11" i="4"/>
  <c r="D11" i="4"/>
  <c r="B11" i="4"/>
  <c r="A11" i="4"/>
  <c r="H10" i="4"/>
  <c r="G10" i="4"/>
  <c r="F10" i="4"/>
  <c r="E10" i="4"/>
  <c r="D10" i="4"/>
  <c r="B10" i="4"/>
  <c r="A10" i="4"/>
  <c r="H9" i="4"/>
  <c r="G9" i="4"/>
  <c r="F9" i="4"/>
  <c r="E9" i="4"/>
  <c r="D9" i="4"/>
  <c r="B9" i="4"/>
  <c r="A9" i="4"/>
  <c r="H8" i="4"/>
  <c r="G8" i="4"/>
  <c r="F8" i="4"/>
  <c r="E8" i="4"/>
  <c r="D8" i="4"/>
  <c r="B8" i="4"/>
  <c r="A8" i="4"/>
  <c r="H7" i="4"/>
  <c r="G7" i="4"/>
  <c r="F7" i="4"/>
  <c r="E7" i="4"/>
  <c r="D7" i="4"/>
  <c r="B7" i="4"/>
  <c r="A7" i="4"/>
  <c r="H6" i="4"/>
  <c r="G6" i="4"/>
  <c r="F6" i="4"/>
  <c r="E6" i="4"/>
  <c r="D6" i="4"/>
  <c r="B6" i="4"/>
  <c r="A6" i="4"/>
  <c r="H5" i="4"/>
  <c r="G5" i="4"/>
  <c r="F5" i="4"/>
  <c r="E5" i="4"/>
  <c r="D5" i="4"/>
  <c r="C5" i="4"/>
  <c r="C8" i="4" s="1"/>
  <c r="C11" i="4" s="1"/>
  <c r="C14" i="4" s="1"/>
  <c r="B5" i="4"/>
  <c r="A5" i="4"/>
  <c r="H4" i="4"/>
  <c r="G4" i="4"/>
  <c r="F4" i="4"/>
  <c r="E4" i="4"/>
  <c r="D4" i="4"/>
  <c r="C4" i="4"/>
  <c r="C7" i="4" s="1"/>
  <c r="C10" i="4" s="1"/>
  <c r="C13" i="4" s="1"/>
  <c r="B4" i="4"/>
  <c r="A4" i="4"/>
  <c r="H3" i="4"/>
  <c r="G3" i="4"/>
  <c r="F3" i="4"/>
  <c r="E3" i="4"/>
  <c r="D3" i="4"/>
  <c r="C3" i="4"/>
  <c r="C6" i="4" s="1"/>
  <c r="C9" i="4" s="1"/>
  <c r="C12" i="4" s="1"/>
  <c r="B3" i="4"/>
  <c r="A3" i="4"/>
  <c r="H3" i="1" l="1"/>
  <c r="D4" i="1" s="1"/>
  <c r="D5" i="1"/>
  <c r="D3" i="1"/>
  <c r="R9" i="1"/>
  <c r="R12" i="1"/>
  <c r="M9" i="1"/>
  <c r="M12" i="1"/>
  <c r="F6" i="1"/>
  <c r="R6" i="1" s="1"/>
  <c r="E6" i="1"/>
  <c r="M6" i="1" s="1"/>
  <c r="E13" i="1"/>
  <c r="E10" i="1"/>
  <c r="E11" i="1" s="1"/>
  <c r="E7" i="1"/>
  <c r="M7" i="1" s="1"/>
  <c r="E4" i="1"/>
  <c r="L4" i="1"/>
  <c r="L5" i="1"/>
  <c r="L6" i="1"/>
  <c r="L7" i="1"/>
  <c r="L8" i="1"/>
  <c r="L9" i="1"/>
  <c r="L10" i="1"/>
  <c r="L11" i="1"/>
  <c r="L12" i="1"/>
  <c r="L13" i="1"/>
  <c r="L14" i="1"/>
  <c r="L3" i="1"/>
  <c r="F3" i="1"/>
  <c r="E3" i="1"/>
  <c r="C4" i="1"/>
  <c r="C5" i="1"/>
  <c r="C3" i="1"/>
  <c r="G4" i="1"/>
  <c r="G5" i="1"/>
  <c r="G6" i="1"/>
  <c r="G7" i="1"/>
  <c r="G8" i="1"/>
  <c r="G9" i="1"/>
  <c r="Q9" i="1" s="1"/>
  <c r="G10" i="1"/>
  <c r="G11" i="1"/>
  <c r="G12" i="1"/>
  <c r="Q12" i="1" s="1"/>
  <c r="G13" i="1"/>
  <c r="G14" i="1"/>
  <c r="G3" i="1"/>
  <c r="F4" i="1" l="1"/>
  <c r="H5" i="1"/>
  <c r="Q13" i="1"/>
  <c r="E5" i="1"/>
  <c r="M5" i="1" s="1"/>
  <c r="Q6" i="1"/>
  <c r="E14" i="1"/>
  <c r="Q14" i="1" s="1"/>
  <c r="Q4" i="1"/>
  <c r="M13" i="1"/>
  <c r="M11" i="1"/>
  <c r="Q11" i="1"/>
  <c r="M4" i="1"/>
  <c r="F13" i="1"/>
  <c r="F10" i="1"/>
  <c r="M10" i="1"/>
  <c r="S12" i="1"/>
  <c r="Q10" i="1"/>
  <c r="S3" i="1"/>
  <c r="S9" i="1"/>
  <c r="Q7" i="1"/>
  <c r="E8" i="1"/>
  <c r="S6" i="1"/>
  <c r="R3" i="1"/>
  <c r="Q3" i="1"/>
  <c r="M3" i="1"/>
  <c r="C7" i="1" l="1"/>
  <c r="O7" i="1" s="1"/>
  <c r="Q5" i="1"/>
  <c r="D6" i="1"/>
  <c r="D8" i="1"/>
  <c r="C8" i="1"/>
  <c r="C6" i="1"/>
  <c r="M14" i="1"/>
  <c r="O3" i="1"/>
  <c r="N3" i="1"/>
  <c r="O5" i="1"/>
  <c r="N5" i="1"/>
  <c r="P5" i="1" s="1"/>
  <c r="O4" i="1"/>
  <c r="N4" i="1"/>
  <c r="M8" i="1"/>
  <c r="Q8" i="1"/>
  <c r="F14" i="1"/>
  <c r="R13" i="1"/>
  <c r="S13" i="1"/>
  <c r="F5" i="1"/>
  <c r="R4" i="1"/>
  <c r="S4" i="1"/>
  <c r="F11" i="1"/>
  <c r="R10" i="1"/>
  <c r="S10" i="1"/>
  <c r="H6" i="1" l="1"/>
  <c r="D7" i="1" s="1"/>
  <c r="F7" i="1" s="1"/>
  <c r="R7" i="1" s="1"/>
  <c r="C10" i="1"/>
  <c r="O10" i="1" s="1"/>
  <c r="C11" i="1"/>
  <c r="O6" i="1"/>
  <c r="C9" i="1"/>
  <c r="O9" i="1" s="1"/>
  <c r="N7" i="1"/>
  <c r="P4" i="1"/>
  <c r="N6" i="1"/>
  <c r="P3" i="1"/>
  <c r="O8" i="1"/>
  <c r="N8" i="1"/>
  <c r="R14" i="1"/>
  <c r="S14" i="1"/>
  <c r="S11" i="1"/>
  <c r="R11" i="1"/>
  <c r="R5" i="1"/>
  <c r="S5" i="1"/>
  <c r="S7" i="1" l="1"/>
  <c r="F8" i="1"/>
  <c r="S8" i="1" s="1"/>
  <c r="H8" i="1"/>
  <c r="D10" i="1" s="1"/>
  <c r="C13" i="1"/>
  <c r="O13" i="1" s="1"/>
  <c r="C14" i="1"/>
  <c r="O11" i="1"/>
  <c r="C12" i="1"/>
  <c r="O12" i="1" s="1"/>
  <c r="D13" i="1"/>
  <c r="D14" i="1"/>
  <c r="D9" i="1"/>
  <c r="D12" i="1"/>
  <c r="H12" i="1" s="1"/>
  <c r="H14" i="1" s="1"/>
  <c r="D11" i="1"/>
  <c r="N11" i="1"/>
  <c r="P8" i="1"/>
  <c r="N9" i="1"/>
  <c r="P6" i="1"/>
  <c r="P7" i="1"/>
  <c r="N10" i="1"/>
  <c r="R8" i="1" l="1"/>
  <c r="O14" i="1"/>
  <c r="H9" i="1"/>
  <c r="H11" i="1" s="1"/>
  <c r="N13" i="1"/>
  <c r="P13" i="1" s="1"/>
  <c r="P10" i="1"/>
  <c r="N12" i="1"/>
  <c r="P12" i="1" s="1"/>
  <c r="P9" i="1"/>
  <c r="N14" i="1"/>
  <c r="P11" i="1"/>
  <c r="P14" i="1" l="1"/>
</calcChain>
</file>

<file path=xl/sharedStrings.xml><?xml version="1.0" encoding="utf-8"?>
<sst xmlns="http://schemas.openxmlformats.org/spreadsheetml/2006/main" count="56" uniqueCount="35">
  <si>
    <t>Final Output</t>
  </si>
  <si>
    <t>Mitigation Type</t>
  </si>
  <si>
    <t>Incremental Customers Mitigated</t>
  </si>
  <si>
    <t>Cumulative Customers Mitigated</t>
  </si>
  <si>
    <t>Incremental Mitigated (%)</t>
  </si>
  <si>
    <t>Cumulative Mitigated (%)</t>
  </si>
  <si>
    <t>Incremental Customers Mitigated Per Event</t>
  </si>
  <si>
    <t>Incremental Customer Hours Mitigated</t>
  </si>
  <si>
    <t>Incremental Customer Hours Mitigated Per Event</t>
  </si>
  <si>
    <t>Calculation Helper Columns</t>
  </si>
  <si>
    <t>Intermediate Table Before Applying Tag Multiplier</t>
  </si>
  <si>
    <t>Year</t>
  </si>
  <si>
    <t>Scope before Incremental Mitigations</t>
  </si>
  <si>
    <t>Average Outage Duration before Incremental Mitigations</t>
  </si>
  <si>
    <t>Incremental Mitigated Customers</t>
  </si>
  <si>
    <t>Incremental Mitigated Customer-Hours</t>
  </si>
  <si>
    <t>Total Events</t>
  </si>
  <si>
    <t>Average Outage Duration After Incremental Mitigations</t>
  </si>
  <si>
    <t>Incremental Customer Hours Per Event</t>
  </si>
  <si>
    <t>MSO</t>
  </si>
  <si>
    <t>UG</t>
  </si>
  <si>
    <t>No impact on Avg Outage Duration</t>
  </si>
  <si>
    <t>Year Total</t>
  </si>
  <si>
    <t xml:space="preserve">Asset and Veg Tag Multiplier: </t>
  </si>
  <si>
    <t>Goal (mi)</t>
  </si>
  <si>
    <t>Estimated Customers Mitigated</t>
  </si>
  <si>
    <t>count_distinct_of_event_name</t>
  </si>
  <si>
    <t>sum_of_COUNT_DISTINCT_of_service_point_id</t>
  </si>
  <si>
    <t>sum_of_COUNT_DISTINCT_of_spids_impacted_after_2023_mso_replaced</t>
  </si>
  <si>
    <t>sum_of_SUM_of_total_outage_duration_hours</t>
  </si>
  <si>
    <t>sum_of_SUM_of_outage_duration_after_2023_mso_replaced</t>
  </si>
  <si>
    <t>sum_of_COUNT_DISTINCT_of_spids_impacted_after_2024_mso_replaced</t>
  </si>
  <si>
    <t>sum_of_SUM_of_outage_duration_after_2024_mso_replaced</t>
  </si>
  <si>
    <t>sum_of_COUNT_DISTINCT_of_spids_impacted_after_2023_and_2024_replaced</t>
  </si>
  <si>
    <t>sum_of_SUM_of_outage_duration_after_2023_and_2024_mso_replaced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</si>
</sst>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00000000000000%"/>
    <numFmt numFmtId="166" formatCode="0.0000000000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164" fontId="1" fillId="0" borderId="0" xfId="1" applyNumberFormat="1" applyFont="1" applyBorder="1"/>
    <xf numFmtId="10" fontId="1" fillId="0" borderId="0" xfId="2" applyNumberFormat="1" applyFont="1" applyBorder="1"/>
    <xf numFmtId="10" fontId="0" fillId="0" borderId="0" xfId="0" applyNumberFormat="1"/>
    <xf numFmtId="165" fontId="0" fillId="0" borderId="0" xfId="0" applyNumberFormat="1"/>
    <xf numFmtId="166" fontId="0" fillId="0" borderId="0" xfId="0" applyNumberFormat="1"/>
    <xf numFmtId="43" fontId="0" fillId="0" borderId="0" xfId="0" applyNumberFormat="1"/>
    <xf numFmtId="0" fontId="0" fillId="0" borderId="3" xfId="0" applyBorder="1"/>
    <xf numFmtId="164" fontId="0" fillId="0" borderId="3" xfId="1" applyNumberFormat="1" applyFont="1" applyFill="1" applyBorder="1"/>
    <xf numFmtId="10" fontId="0" fillId="0" borderId="3" xfId="2" applyNumberFormat="1" applyFont="1" applyFill="1" applyBorder="1"/>
    <xf numFmtId="0" fontId="2" fillId="0" borderId="0" xfId="0" applyFont="1"/>
    <xf numFmtId="164" fontId="1" fillId="0" borderId="3" xfId="1" applyNumberFormat="1" applyFont="1" applyBorder="1"/>
    <xf numFmtId="0" fontId="4" fillId="0" borderId="0" xfId="3"/>
    <xf numFmtId="0" fontId="2" fillId="0" borderId="3" xfId="0" applyFont="1" applyBorder="1" applyAlignment="1">
      <alignment horizontal="center" wrapText="1"/>
    </xf>
    <xf numFmtId="2" fontId="0" fillId="0" borderId="0" xfId="0" applyNumberFormat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7BFF5-8BC9-47C8-9AE1-A1279FA14505}">
  <dimension ref="A1:H14"/>
  <sheetViews>
    <sheetView tabSelected="1" workbookViewId="0">
      <selection activeCell="B3" sqref="B3"/>
    </sheetView>
  </sheetViews>
  <sheetFormatPr defaultRowHeight="15" x14ac:dyDescent="0.25"/>
  <cols>
    <col min="1" max="1" width="17" customWidth="1"/>
    <col min="2" max="2" width="11.7109375" bestFit="1" customWidth="1"/>
    <col min="3" max="3" width="11.140625" bestFit="1" customWidth="1"/>
    <col min="4" max="6" width="13.28515625" bestFit="1" customWidth="1"/>
    <col min="7" max="7" width="11.7109375" bestFit="1" customWidth="1"/>
    <col min="8" max="8" width="15.28515625" customWidth="1"/>
  </cols>
  <sheetData>
    <row r="1" spans="1:8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8" ht="60" x14ac:dyDescent="0.25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19" t="s">
        <v>7</v>
      </c>
      <c r="H2" s="19" t="s">
        <v>8</v>
      </c>
    </row>
    <row r="3" spans="1:8" x14ac:dyDescent="0.25">
      <c r="A3" s="13" t="str">
        <f>'Intermediate Calc Tables'!L3</f>
        <v>2023 MSO</v>
      </c>
      <c r="B3" s="14">
        <f>'Intermediate Calc Tables'!M3*'Intermediate Calc Tables'!$A$17</f>
        <v>1089.8780000000002</v>
      </c>
      <c r="C3" s="17">
        <f>B3</f>
        <v>1089.8780000000002</v>
      </c>
      <c r="D3" s="15">
        <f>'Intermediate Calc Tables'!O3</f>
        <v>6.808490718010076E-4</v>
      </c>
      <c r="E3" s="15">
        <f>'Intermediate Calc Tables'!P3</f>
        <v>6.808490718010076E-4</v>
      </c>
      <c r="F3" s="14">
        <f>'Intermediate Calc Tables'!Q3*'Intermediate Calc Tables'!$A$17</f>
        <v>57.362000000000009</v>
      </c>
      <c r="G3" s="14">
        <f>'Intermediate Calc Tables'!R3*'Intermediate Calc Tables'!$A$17</f>
        <v>544.93900000000008</v>
      </c>
      <c r="H3" s="14">
        <f>'Intermediate Calc Tables'!S3*'Intermediate Calc Tables'!$A$17</f>
        <v>28.681000000000004</v>
      </c>
    </row>
    <row r="4" spans="1:8" x14ac:dyDescent="0.25">
      <c r="A4" s="13" t="str">
        <f>'Intermediate Calc Tables'!L4</f>
        <v>2023 UG</v>
      </c>
      <c r="B4" s="14">
        <f>'Intermediate Calc Tables'!M4*'Intermediate Calc Tables'!$A$17</f>
        <v>13973.36</v>
      </c>
      <c r="C4" s="17">
        <f>B4</f>
        <v>13973.36</v>
      </c>
      <c r="D4" s="15">
        <f>'Intermediate Calc Tables'!O4</f>
        <v>8.7291872906337473E-3</v>
      </c>
      <c r="E4" s="15">
        <f>'Intermediate Calc Tables'!P4</f>
        <v>8.7291872906337473E-3</v>
      </c>
      <c r="F4" s="14">
        <f>'Intermediate Calc Tables'!Q4*'Intermediate Calc Tables'!$A$17</f>
        <v>735.44</v>
      </c>
      <c r="G4" s="14">
        <f>'Intermediate Calc Tables'!R4*'Intermediate Calc Tables'!$A$17</f>
        <v>542893.99473307212</v>
      </c>
      <c r="H4" s="14">
        <f>'Intermediate Calc Tables'!S4*'Intermediate Calc Tables'!$A$17</f>
        <v>28573.368143845903</v>
      </c>
    </row>
    <row r="5" spans="1:8" x14ac:dyDescent="0.25">
      <c r="A5" s="13" t="str">
        <f>'Intermediate Calc Tables'!L5</f>
        <v>2023 Year Total</v>
      </c>
      <c r="B5" s="14">
        <f>'Intermediate Calc Tables'!M5*'Intermediate Calc Tables'!$A$17</f>
        <v>15063.238000000001</v>
      </c>
      <c r="C5" s="17">
        <f>B5</f>
        <v>15063.238000000001</v>
      </c>
      <c r="D5" s="15">
        <f>'Intermediate Calc Tables'!O5</f>
        <v>9.4100363624347542E-3</v>
      </c>
      <c r="E5" s="15">
        <f>'Intermediate Calc Tables'!P5</f>
        <v>9.4100363624347542E-3</v>
      </c>
      <c r="F5" s="14">
        <f>'Intermediate Calc Tables'!Q5*'Intermediate Calc Tables'!$A$17</f>
        <v>792.80200000000013</v>
      </c>
      <c r="G5" s="14">
        <f>'Intermediate Calc Tables'!R5*'Intermediate Calc Tables'!$A$17</f>
        <v>543438.93373307213</v>
      </c>
      <c r="H5" s="14">
        <f>'Intermediate Calc Tables'!S5*'Intermediate Calc Tables'!$A$17</f>
        <v>28602.049143845903</v>
      </c>
    </row>
    <row r="6" spans="1:8" x14ac:dyDescent="0.25">
      <c r="A6" s="13" t="str">
        <f>'Intermediate Calc Tables'!L6</f>
        <v>2024 MSO</v>
      </c>
      <c r="B6" s="14">
        <f>'Intermediate Calc Tables'!M6*'Intermediate Calc Tables'!$A$17</f>
        <v>204.97200000000001</v>
      </c>
      <c r="C6" s="17">
        <f t="shared" ref="C6:C14" si="0">B6+C3</f>
        <v>1294.8500000000001</v>
      </c>
      <c r="D6" s="15">
        <f>'Intermediate Calc Tables'!O6</f>
        <v>1.2926280587853884E-4</v>
      </c>
      <c r="E6" s="15">
        <f>'Intermediate Calc Tables'!P6</f>
        <v>8.0889550997591904E-4</v>
      </c>
      <c r="F6" s="14">
        <f>'Intermediate Calc Tables'!Q6*'Intermediate Calc Tables'!$A$17</f>
        <v>10.788</v>
      </c>
      <c r="G6" s="14">
        <f>'Intermediate Calc Tables'!R6*'Intermediate Calc Tables'!$A$17</f>
        <v>102.486</v>
      </c>
      <c r="H6" s="14">
        <f>'Intermediate Calc Tables'!S6*'Intermediate Calc Tables'!$A$17</f>
        <v>5.3940000000000001</v>
      </c>
    </row>
    <row r="7" spans="1:8" x14ac:dyDescent="0.25">
      <c r="A7" s="13" t="str">
        <f>'Intermediate Calc Tables'!L7</f>
        <v>2024 UG</v>
      </c>
      <c r="B7" s="14">
        <f>'Intermediate Calc Tables'!M7*'Intermediate Calc Tables'!$A$17</f>
        <v>17964.804</v>
      </c>
      <c r="C7" s="17">
        <f t="shared" si="0"/>
        <v>31938.164000000001</v>
      </c>
      <c r="D7" s="15">
        <f>'Intermediate Calc Tables'!O7</f>
        <v>1.1329259470064194E-2</v>
      </c>
      <c r="E7" s="15">
        <f>'Intermediate Calc Tables'!P7</f>
        <v>1.9951838017125179E-2</v>
      </c>
      <c r="F7" s="14">
        <f>'Intermediate Calc Tables'!Q7*'Intermediate Calc Tables'!$A$17</f>
        <v>945.51600000000008</v>
      </c>
      <c r="G7" s="14">
        <f>'Intermediate Calc Tables'!R7*'Intermediate Calc Tables'!$A$17</f>
        <v>698058.93806577113</v>
      </c>
      <c r="H7" s="14">
        <f>'Intermediate Calc Tables'!S7*'Intermediate Calc Tables'!$A$17</f>
        <v>36739.944108724798</v>
      </c>
    </row>
    <row r="8" spans="1:8" x14ac:dyDescent="0.25">
      <c r="A8" s="13" t="str">
        <f>'Intermediate Calc Tables'!L8</f>
        <v>2024 Year Total</v>
      </c>
      <c r="B8" s="14">
        <f>'Intermediate Calc Tables'!M8*'Intermediate Calc Tables'!$A$17</f>
        <v>18169.776000000002</v>
      </c>
      <c r="C8" s="17">
        <f t="shared" si="0"/>
        <v>33233.014000000003</v>
      </c>
      <c r="D8" s="15">
        <f>'Intermediate Calc Tables'!O8</f>
        <v>1.1458522275942733E-2</v>
      </c>
      <c r="E8" s="15">
        <f>'Intermediate Calc Tables'!P8</f>
        <v>2.0760733527101099E-2</v>
      </c>
      <c r="F8" s="14">
        <f>'Intermediate Calc Tables'!Q8*'Intermediate Calc Tables'!$A$17</f>
        <v>956.30400000000009</v>
      </c>
      <c r="G8" s="14">
        <f>'Intermediate Calc Tables'!R8*'Intermediate Calc Tables'!$A$17</f>
        <v>698161.42406577116</v>
      </c>
      <c r="H8" s="14">
        <f>'Intermediate Calc Tables'!S8*'Intermediate Calc Tables'!$A$17</f>
        <v>36745.338108724791</v>
      </c>
    </row>
    <row r="9" spans="1:8" x14ac:dyDescent="0.25">
      <c r="A9" s="13" t="str">
        <f>'Intermediate Calc Tables'!L9</f>
        <v>2025 MSO</v>
      </c>
      <c r="B9" s="14">
        <f>'Intermediate Calc Tables'!M9*'Intermediate Calc Tables'!$A$17</f>
        <v>0</v>
      </c>
      <c r="C9" s="17">
        <f t="shared" si="0"/>
        <v>1294.8500000000001</v>
      </c>
      <c r="D9" s="15">
        <f>'Intermediate Calc Tables'!O9</f>
        <v>0</v>
      </c>
      <c r="E9" s="15">
        <f>'Intermediate Calc Tables'!P9</f>
        <v>8.0889550997591904E-4</v>
      </c>
      <c r="F9" s="14">
        <f>'Intermediate Calc Tables'!Q9*'Intermediate Calc Tables'!$A$17</f>
        <v>0</v>
      </c>
      <c r="G9" s="14">
        <f>'Intermediate Calc Tables'!R9*'Intermediate Calc Tables'!$A$17</f>
        <v>0</v>
      </c>
      <c r="H9" s="14">
        <f>'Intermediate Calc Tables'!S9*'Intermediate Calc Tables'!$A$17</f>
        <v>0</v>
      </c>
    </row>
    <row r="10" spans="1:8" x14ac:dyDescent="0.25">
      <c r="A10" s="13" t="str">
        <f>'Intermediate Calc Tables'!L10</f>
        <v>2025 UG</v>
      </c>
      <c r="B10" s="14">
        <f>'Intermediate Calc Tables'!M10*'Intermediate Calc Tables'!$A$17</f>
        <v>21957.350000000002</v>
      </c>
      <c r="C10" s="17">
        <f t="shared" si="0"/>
        <v>53895.514000000003</v>
      </c>
      <c r="D10" s="15">
        <f>'Intermediate Calc Tables'!O10</f>
        <v>1.4007610860485601E-2</v>
      </c>
      <c r="E10" s="15">
        <f>'Intermediate Calc Tables'!P10</f>
        <v>3.3668640601184914E-2</v>
      </c>
      <c r="F10" s="14">
        <f>'Intermediate Calc Tables'!Q10*'Intermediate Calc Tables'!$A$17</f>
        <v>1155.6500000000001</v>
      </c>
      <c r="G10" s="14">
        <f>'Intermediate Calc Tables'!R10*'Intermediate Calc Tables'!$A$17</f>
        <v>852515.20272083208</v>
      </c>
      <c r="H10" s="14">
        <f>'Intermediate Calc Tables'!S10*'Intermediate Calc Tables'!$A$17</f>
        <v>44869.221195833263</v>
      </c>
    </row>
    <row r="11" spans="1:8" x14ac:dyDescent="0.25">
      <c r="A11" s="13" t="str">
        <f>'Intermediate Calc Tables'!L11</f>
        <v>2025 Year Total</v>
      </c>
      <c r="B11" s="14">
        <f>'Intermediate Calc Tables'!M11*'Intermediate Calc Tables'!$A$17</f>
        <v>21957.350000000002</v>
      </c>
      <c r="C11" s="17">
        <f t="shared" si="0"/>
        <v>55190.364000000001</v>
      </c>
      <c r="D11" s="15">
        <f>'Intermediate Calc Tables'!O11</f>
        <v>1.4007610860485601E-2</v>
      </c>
      <c r="E11" s="15">
        <f>'Intermediate Calc Tables'!P11</f>
        <v>3.4477536111160834E-2</v>
      </c>
      <c r="F11" s="14">
        <f>'Intermediate Calc Tables'!Q11*'Intermediate Calc Tables'!$A$17</f>
        <v>1155.6500000000001</v>
      </c>
      <c r="G11" s="14">
        <f>'Intermediate Calc Tables'!R11*'Intermediate Calc Tables'!$A$17</f>
        <v>852515.20272083208</v>
      </c>
      <c r="H11" s="14">
        <f>'Intermediate Calc Tables'!S11*'Intermediate Calc Tables'!$A$17</f>
        <v>44869.221195833263</v>
      </c>
    </row>
    <row r="12" spans="1:8" x14ac:dyDescent="0.25">
      <c r="A12" s="13" t="str">
        <f>'Intermediate Calc Tables'!L12</f>
        <v>2026 MSO</v>
      </c>
      <c r="B12" s="14">
        <f>'Intermediate Calc Tables'!M12*'Intermediate Calc Tables'!$A$17</f>
        <v>0</v>
      </c>
      <c r="C12" s="17">
        <f t="shared" si="0"/>
        <v>1294.8500000000001</v>
      </c>
      <c r="D12" s="15">
        <f>'Intermediate Calc Tables'!O12</f>
        <v>0</v>
      </c>
      <c r="E12" s="15">
        <f>'Intermediate Calc Tables'!P12</f>
        <v>8.0889550997591904E-4</v>
      </c>
      <c r="F12" s="14">
        <f>'Intermediate Calc Tables'!Q12*'Intermediate Calc Tables'!$A$17</f>
        <v>0</v>
      </c>
      <c r="G12" s="14">
        <f>'Intermediate Calc Tables'!R12*'Intermediate Calc Tables'!$A$17</f>
        <v>0</v>
      </c>
      <c r="H12" s="14">
        <f>'Intermediate Calc Tables'!S12*'Intermediate Calc Tables'!$A$17</f>
        <v>0</v>
      </c>
    </row>
    <row r="13" spans="1:8" x14ac:dyDescent="0.25">
      <c r="A13" s="13" t="str">
        <f>'Intermediate Calc Tables'!L13</f>
        <v>2026 UG</v>
      </c>
      <c r="B13" s="14">
        <f>'Intermediate Calc Tables'!M13*'Intermediate Calc Tables'!$A$17</f>
        <v>29942.442000000003</v>
      </c>
      <c r="C13" s="17">
        <f t="shared" si="0"/>
        <v>83837.956000000006</v>
      </c>
      <c r="D13" s="15">
        <f>'Intermediate Calc Tables'!O13</f>
        <v>1.9373041020565897E-2</v>
      </c>
      <c r="E13" s="15">
        <f>'Intermediate Calc Tables'!P13</f>
        <v>5.2373746900381248E-2</v>
      </c>
      <c r="F13" s="14">
        <f>'Intermediate Calc Tables'!Q13*'Intermediate Calc Tables'!$A$17</f>
        <v>1575.9180000000001</v>
      </c>
      <c r="G13" s="14">
        <f>'Intermediate Calc Tables'!R13*'Intermediate Calc Tables'!$A$17</f>
        <v>1162544.0689148169</v>
      </c>
      <c r="H13" s="14">
        <f>'Intermediate Calc Tables'!S13*'Intermediate Calc Tables'!$A$17</f>
        <v>61186.529942885107</v>
      </c>
    </row>
    <row r="14" spans="1:8" x14ac:dyDescent="0.25">
      <c r="A14" s="13" t="str">
        <f>'Intermediate Calc Tables'!L14</f>
        <v>2026 Year Total</v>
      </c>
      <c r="B14" s="14">
        <f>'Intermediate Calc Tables'!M14*'Intermediate Calc Tables'!$A$17</f>
        <v>29942.442000000003</v>
      </c>
      <c r="C14" s="17">
        <f t="shared" si="0"/>
        <v>85132.806000000011</v>
      </c>
      <c r="D14" s="15">
        <f>'Intermediate Calc Tables'!O14</f>
        <v>1.9373041020565897E-2</v>
      </c>
      <c r="E14" s="15">
        <f>'Intermediate Calc Tables'!P14</f>
        <v>5.3182642410357167E-2</v>
      </c>
      <c r="F14" s="14">
        <f>'Intermediate Calc Tables'!Q14*'Intermediate Calc Tables'!$A$17</f>
        <v>1575.9180000000001</v>
      </c>
      <c r="G14" s="14">
        <f>'Intermediate Calc Tables'!R14*'Intermediate Calc Tables'!$A$17</f>
        <v>1162544.0689148169</v>
      </c>
      <c r="H14" s="14">
        <f>'Intermediate Calc Tables'!S14*'Intermediate Calc Tables'!$A$17</f>
        <v>61186.529942885107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  <headerFooter>
    <oddHeader>&amp;RWMP-Discovery2023_DR_TURN_004-Q002Atch01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34CC9-A739-4FCF-A8B5-FDFFCA24F3A1}">
  <dimension ref="A1:T20"/>
  <sheetViews>
    <sheetView tabSelected="1" zoomScale="130" zoomScaleNormal="130" workbookViewId="0">
      <selection activeCell="B3" sqref="B3"/>
    </sheetView>
  </sheetViews>
  <sheetFormatPr defaultRowHeight="15" x14ac:dyDescent="0.25"/>
  <cols>
    <col min="2" max="2" width="15" bestFit="1" customWidth="1"/>
    <col min="3" max="3" width="24.28515625" bestFit="1" customWidth="1"/>
    <col min="4" max="4" width="22.5703125" bestFit="1" customWidth="1"/>
    <col min="5" max="5" width="11.7109375" bestFit="1" customWidth="1"/>
    <col min="6" max="6" width="21" bestFit="1" customWidth="1"/>
    <col min="7" max="7" width="11.7109375" bestFit="1" customWidth="1"/>
    <col min="8" max="8" width="32.140625" bestFit="1" customWidth="1"/>
    <col min="9" max="9" width="11.7109375" customWidth="1"/>
    <col min="12" max="12" width="15.85546875" bestFit="1" customWidth="1"/>
    <col min="13" max="13" width="15.140625" bestFit="1" customWidth="1"/>
    <col min="14" max="14" width="13.140625" customWidth="1"/>
    <col min="15" max="15" width="15.140625" bestFit="1" customWidth="1"/>
    <col min="16" max="16" width="13.140625" customWidth="1"/>
    <col min="17" max="17" width="13.42578125" bestFit="1" customWidth="1"/>
    <col min="18" max="18" width="20.42578125" bestFit="1" customWidth="1"/>
    <col min="19" max="19" width="19.42578125" bestFit="1" customWidth="1"/>
    <col min="20" max="20" width="10" bestFit="1" customWidth="1"/>
    <col min="21" max="21" width="9.42578125" bestFit="1" customWidth="1"/>
  </cols>
  <sheetData>
    <row r="1" spans="1:20" x14ac:dyDescent="0.25">
      <c r="A1" s="22" t="s">
        <v>9</v>
      </c>
      <c r="B1" s="22"/>
      <c r="C1" s="22"/>
      <c r="D1" s="22"/>
      <c r="E1" s="22"/>
      <c r="F1" s="22"/>
      <c r="G1" s="22"/>
      <c r="H1" s="5"/>
      <c r="I1" s="5"/>
      <c r="L1" s="22" t="s">
        <v>10</v>
      </c>
      <c r="M1" s="22"/>
      <c r="N1" s="22"/>
      <c r="O1" s="22"/>
      <c r="P1" s="22"/>
      <c r="Q1" s="22"/>
      <c r="R1" s="22"/>
      <c r="S1" s="22"/>
    </row>
    <row r="2" spans="1:20" ht="60" x14ac:dyDescent="0.25">
      <c r="A2" s="6" t="s">
        <v>11</v>
      </c>
      <c r="B2" s="6" t="s">
        <v>1</v>
      </c>
      <c r="C2" s="6" t="s">
        <v>12</v>
      </c>
      <c r="D2" s="6" t="s">
        <v>13</v>
      </c>
      <c r="E2" s="6" t="s">
        <v>14</v>
      </c>
      <c r="F2" s="6" t="s">
        <v>15</v>
      </c>
      <c r="G2" s="6" t="s">
        <v>16</v>
      </c>
      <c r="H2" s="6" t="s">
        <v>17</v>
      </c>
      <c r="L2" s="6" t="s">
        <v>1</v>
      </c>
      <c r="M2" s="6" t="s">
        <v>2</v>
      </c>
      <c r="N2" s="6" t="s">
        <v>3</v>
      </c>
      <c r="O2" s="6" t="s">
        <v>4</v>
      </c>
      <c r="P2" s="6" t="s">
        <v>5</v>
      </c>
      <c r="Q2" s="6" t="s">
        <v>6</v>
      </c>
      <c r="R2" s="6" t="s">
        <v>7</v>
      </c>
      <c r="S2" s="6" t="s">
        <v>18</v>
      </c>
    </row>
    <row r="3" spans="1:20" x14ac:dyDescent="0.25">
      <c r="A3">
        <v>2023</v>
      </c>
      <c r="B3" t="s">
        <v>19</v>
      </c>
      <c r="C3">
        <f>'Input 5yr Lookback and MSO'!$C$2</f>
        <v>1452598</v>
      </c>
      <c r="D3" s="20">
        <f>'Input 5yr Lookback and MSO'!$E$2/'Input 5yr Lookback and MSO'!$C$2</f>
        <v>38.82596045154957</v>
      </c>
      <c r="E3">
        <f>'Input 5yr Lookback and MSO'!C2-'Input 5yr Lookback and MSO'!D2</f>
        <v>989</v>
      </c>
      <c r="F3" s="20">
        <f>'Input 5yr Lookback and MSO'!E2-'Input 5yr Lookback and MSO'!F2</f>
        <v>494.5</v>
      </c>
      <c r="G3">
        <f>'Input 5yr Lookback and MSO'!$B$2</f>
        <v>19</v>
      </c>
      <c r="H3" s="20">
        <f>'Input 5yr Lookback and MSO'!F2/'Input 5yr Lookback and MSO'!D2</f>
        <v>38.852072424461412</v>
      </c>
      <c r="L3" t="str">
        <f>A3&amp;" "&amp;B3</f>
        <v>2023 MSO</v>
      </c>
      <c r="M3" s="7">
        <f>E3</f>
        <v>989</v>
      </c>
      <c r="N3" s="7">
        <f>M3</f>
        <v>989</v>
      </c>
      <c r="O3" s="8">
        <f>M3/C3</f>
        <v>6.808490718010076E-4</v>
      </c>
      <c r="P3" s="8">
        <f>N3/$C$5</f>
        <v>6.808490718010076E-4</v>
      </c>
      <c r="Q3" s="7">
        <f>E3/G3</f>
        <v>52.05263157894737</v>
      </c>
      <c r="R3" s="7">
        <f>F3</f>
        <v>494.5</v>
      </c>
      <c r="S3" s="7">
        <f>F3/G3</f>
        <v>26.026315789473685</v>
      </c>
    </row>
    <row r="4" spans="1:20" x14ac:dyDescent="0.25">
      <c r="A4">
        <v>2023</v>
      </c>
      <c r="B4" t="s">
        <v>20</v>
      </c>
      <c r="C4">
        <f>'Input 5yr Lookback and MSO'!$C$2</f>
        <v>1452598</v>
      </c>
      <c r="D4" s="20">
        <f>H3</f>
        <v>38.852072424461412</v>
      </c>
      <c r="E4">
        <f>'Input UG'!C2</f>
        <v>12680</v>
      </c>
      <c r="F4" s="20">
        <f>D4*E4</f>
        <v>492644.2783421707</v>
      </c>
      <c r="G4">
        <f>'Input 5yr Lookback and MSO'!$B$2</f>
        <v>19</v>
      </c>
      <c r="H4" s="20" t="s">
        <v>21</v>
      </c>
      <c r="L4" t="str">
        <f t="shared" ref="L4:L14" si="0">A4&amp;" "&amp;B4</f>
        <v>2023 UG</v>
      </c>
      <c r="M4" s="7">
        <f t="shared" ref="M4:M14" si="1">E4</f>
        <v>12680</v>
      </c>
      <c r="N4" s="7">
        <f t="shared" ref="N4:N5" si="2">M4</f>
        <v>12680</v>
      </c>
      <c r="O4" s="8">
        <f t="shared" ref="O4:O14" si="3">M4/C4</f>
        <v>8.7291872906337473E-3</v>
      </c>
      <c r="P4" s="8">
        <f t="shared" ref="P4:P14" si="4">N4/$C$5</f>
        <v>8.7291872906337473E-3</v>
      </c>
      <c r="Q4" s="7">
        <f t="shared" ref="Q4:Q14" si="5">E4/G4</f>
        <v>667.36842105263156</v>
      </c>
      <c r="R4" s="7">
        <f t="shared" ref="R4:R14" si="6">F4</f>
        <v>492644.2783421707</v>
      </c>
      <c r="S4" s="7">
        <f t="shared" ref="S4:S14" si="7">F4/G4</f>
        <v>25928.646228535301</v>
      </c>
    </row>
    <row r="5" spans="1:20" x14ac:dyDescent="0.25">
      <c r="A5">
        <v>2023</v>
      </c>
      <c r="B5" t="s">
        <v>22</v>
      </c>
      <c r="C5">
        <f>'Input 5yr Lookback and MSO'!$C$2</f>
        <v>1452598</v>
      </c>
      <c r="D5" s="20">
        <f>'Input 5yr Lookback and MSO'!$E$2/'Input 5yr Lookback and MSO'!$C$2</f>
        <v>38.82596045154957</v>
      </c>
      <c r="E5">
        <f>SUM(E3:E4)</f>
        <v>13669</v>
      </c>
      <c r="F5" s="20">
        <f>SUM(F3:F4)</f>
        <v>493138.7783421707</v>
      </c>
      <c r="G5">
        <f>'Input 5yr Lookback and MSO'!$B$2</f>
        <v>19</v>
      </c>
      <c r="H5" s="20">
        <f>H3</f>
        <v>38.852072424461412</v>
      </c>
      <c r="L5" t="str">
        <f t="shared" si="0"/>
        <v>2023 Year Total</v>
      </c>
      <c r="M5" s="7">
        <f t="shared" si="1"/>
        <v>13669</v>
      </c>
      <c r="N5" s="7">
        <f t="shared" si="2"/>
        <v>13669</v>
      </c>
      <c r="O5" s="8">
        <f t="shared" si="3"/>
        <v>9.4100363624347542E-3</v>
      </c>
      <c r="P5" s="8">
        <f t="shared" si="4"/>
        <v>9.4100363624347542E-3</v>
      </c>
      <c r="Q5" s="7">
        <f t="shared" si="5"/>
        <v>719.42105263157896</v>
      </c>
      <c r="R5" s="7">
        <f t="shared" si="6"/>
        <v>493138.7783421707</v>
      </c>
      <c r="S5" s="7">
        <f t="shared" si="7"/>
        <v>25954.672544324774</v>
      </c>
    </row>
    <row r="6" spans="1:20" x14ac:dyDescent="0.25">
      <c r="A6">
        <v>2024</v>
      </c>
      <c r="B6" t="s">
        <v>19</v>
      </c>
      <c r="C6">
        <f>$C$5-$E$5</f>
        <v>1438929</v>
      </c>
      <c r="D6" s="20">
        <f>$H$5</f>
        <v>38.852072424461412</v>
      </c>
      <c r="E6">
        <f>'Input 5yr Lookback and MSO'!C2-'Input 5yr Lookback and MSO'!G2</f>
        <v>186</v>
      </c>
      <c r="F6" s="20">
        <f>'Input 5yr Lookback and MSO'!E2-'Input 5yr Lookback and MSO'!H2</f>
        <v>93</v>
      </c>
      <c r="G6">
        <f>'Input 5yr Lookback and MSO'!$B$2</f>
        <v>19</v>
      </c>
      <c r="H6" s="20">
        <f>(C6*D6-F6)/(C6-E6)</f>
        <v>38.857030561857009</v>
      </c>
      <c r="L6" t="str">
        <f t="shared" si="0"/>
        <v>2024 MSO</v>
      </c>
      <c r="M6" s="7">
        <f t="shared" si="1"/>
        <v>186</v>
      </c>
      <c r="N6" s="7">
        <f>M6+N3</f>
        <v>1175</v>
      </c>
      <c r="O6" s="8">
        <f t="shared" si="3"/>
        <v>1.2926280587853884E-4</v>
      </c>
      <c r="P6" s="8">
        <f t="shared" si="4"/>
        <v>8.0889550997591904E-4</v>
      </c>
      <c r="Q6" s="7">
        <f t="shared" si="5"/>
        <v>9.7894736842105257</v>
      </c>
      <c r="R6" s="7">
        <f t="shared" si="6"/>
        <v>93</v>
      </c>
      <c r="S6" s="7">
        <f t="shared" si="7"/>
        <v>4.8947368421052628</v>
      </c>
    </row>
    <row r="7" spans="1:20" x14ac:dyDescent="0.25">
      <c r="A7">
        <v>2024</v>
      </c>
      <c r="B7" t="s">
        <v>20</v>
      </c>
      <c r="C7">
        <f>$C$5-$E$5</f>
        <v>1438929</v>
      </c>
      <c r="D7" s="20">
        <f>H6</f>
        <v>38.857030561857009</v>
      </c>
      <c r="E7">
        <f>'Input UG'!C3</f>
        <v>16302</v>
      </c>
      <c r="F7" s="20">
        <f>D7*E7</f>
        <v>633447.31221939297</v>
      </c>
      <c r="G7">
        <f>'Input 5yr Lookback and MSO'!$B$2</f>
        <v>19</v>
      </c>
      <c r="H7" s="20" t="s">
        <v>21</v>
      </c>
      <c r="L7" t="str">
        <f t="shared" si="0"/>
        <v>2024 UG</v>
      </c>
      <c r="M7" s="7">
        <f t="shared" si="1"/>
        <v>16302</v>
      </c>
      <c r="N7" s="7">
        <f t="shared" ref="N7:N14" si="8">M7+N4</f>
        <v>28982</v>
      </c>
      <c r="O7" s="8">
        <f t="shared" si="3"/>
        <v>1.1329259470064194E-2</v>
      </c>
      <c r="P7" s="8">
        <f t="shared" si="4"/>
        <v>1.9951838017125179E-2</v>
      </c>
      <c r="Q7" s="7">
        <f t="shared" si="5"/>
        <v>858</v>
      </c>
      <c r="R7" s="7">
        <f t="shared" si="6"/>
        <v>633447.31221939297</v>
      </c>
      <c r="S7" s="7">
        <f t="shared" si="7"/>
        <v>33339.332222073317</v>
      </c>
    </row>
    <row r="8" spans="1:20" x14ac:dyDescent="0.25">
      <c r="A8">
        <v>2024</v>
      </c>
      <c r="B8" t="s">
        <v>22</v>
      </c>
      <c r="C8">
        <f>$C$5-$E$5</f>
        <v>1438929</v>
      </c>
      <c r="D8" s="20">
        <f t="shared" ref="D8" si="9">$H$5</f>
        <v>38.852072424461412</v>
      </c>
      <c r="E8">
        <f>SUM(E6:E7)</f>
        <v>16488</v>
      </c>
      <c r="F8" s="20">
        <f>SUM(F6:F7)</f>
        <v>633540.31221939297</v>
      </c>
      <c r="G8">
        <f>'Input 5yr Lookback and MSO'!$B$2</f>
        <v>19</v>
      </c>
      <c r="H8" s="20">
        <f>H6</f>
        <v>38.857030561857009</v>
      </c>
      <c r="L8" t="str">
        <f t="shared" si="0"/>
        <v>2024 Year Total</v>
      </c>
      <c r="M8" s="7">
        <f t="shared" si="1"/>
        <v>16488</v>
      </c>
      <c r="N8" s="7">
        <f t="shared" si="8"/>
        <v>30157</v>
      </c>
      <c r="O8" s="8">
        <f t="shared" si="3"/>
        <v>1.1458522275942733E-2</v>
      </c>
      <c r="P8" s="8">
        <f t="shared" si="4"/>
        <v>2.0760733527101099E-2</v>
      </c>
      <c r="Q8" s="7">
        <f t="shared" si="5"/>
        <v>867.78947368421052</v>
      </c>
      <c r="R8" s="7">
        <f t="shared" si="6"/>
        <v>633540.31221939297</v>
      </c>
      <c r="S8" s="7">
        <f t="shared" si="7"/>
        <v>33344.226958915417</v>
      </c>
    </row>
    <row r="9" spans="1:20" x14ac:dyDescent="0.25">
      <c r="A9">
        <v>2025</v>
      </c>
      <c r="B9" t="s">
        <v>19</v>
      </c>
      <c r="C9">
        <f>$C$8-$E$8</f>
        <v>1422441</v>
      </c>
      <c r="D9" s="20">
        <f>$H$8</f>
        <v>38.857030561857009</v>
      </c>
      <c r="E9">
        <v>0</v>
      </c>
      <c r="F9" s="20">
        <v>0</v>
      </c>
      <c r="G9">
        <f>'Input 5yr Lookback and MSO'!$B$2</f>
        <v>19</v>
      </c>
      <c r="H9" s="20">
        <f>D9</f>
        <v>38.857030561857009</v>
      </c>
      <c r="L9" t="str">
        <f t="shared" si="0"/>
        <v>2025 MSO</v>
      </c>
      <c r="M9" s="7">
        <f t="shared" si="1"/>
        <v>0</v>
      </c>
      <c r="N9" s="7">
        <f t="shared" si="8"/>
        <v>1175</v>
      </c>
      <c r="O9" s="8">
        <f t="shared" si="3"/>
        <v>0</v>
      </c>
      <c r="P9" s="8">
        <f t="shared" si="4"/>
        <v>8.0889550997591904E-4</v>
      </c>
      <c r="Q9" s="7">
        <f t="shared" si="5"/>
        <v>0</v>
      </c>
      <c r="R9" s="7">
        <f t="shared" si="6"/>
        <v>0</v>
      </c>
      <c r="S9" s="7">
        <f t="shared" si="7"/>
        <v>0</v>
      </c>
    </row>
    <row r="10" spans="1:20" x14ac:dyDescent="0.25">
      <c r="A10">
        <v>2025</v>
      </c>
      <c r="B10" t="s">
        <v>20</v>
      </c>
      <c r="C10">
        <f>$C$8-$E$8</f>
        <v>1422441</v>
      </c>
      <c r="D10" s="20">
        <f t="shared" ref="D10:D14" si="10">$H$8</f>
        <v>38.857030561857009</v>
      </c>
      <c r="E10">
        <f>'Input UG'!C4</f>
        <v>19925</v>
      </c>
      <c r="F10" s="20">
        <f>'Input 5yr Lookback and MSO'!$E$2/'Input 5yr Lookback and MSO'!$C$2*E10</f>
        <v>773607.26199712523</v>
      </c>
      <c r="G10">
        <f>'Input 5yr Lookback and MSO'!$B$2</f>
        <v>19</v>
      </c>
      <c r="H10" s="20" t="s">
        <v>21</v>
      </c>
      <c r="L10" t="str">
        <f t="shared" si="0"/>
        <v>2025 UG</v>
      </c>
      <c r="M10" s="7">
        <f t="shared" si="1"/>
        <v>19925</v>
      </c>
      <c r="N10" s="7">
        <f t="shared" si="8"/>
        <v>48907</v>
      </c>
      <c r="O10" s="8">
        <f t="shared" si="3"/>
        <v>1.4007610860485601E-2</v>
      </c>
      <c r="P10" s="8">
        <f t="shared" si="4"/>
        <v>3.3668640601184914E-2</v>
      </c>
      <c r="Q10" s="7">
        <f t="shared" si="5"/>
        <v>1048.6842105263158</v>
      </c>
      <c r="R10" s="7">
        <f t="shared" si="6"/>
        <v>773607.26199712523</v>
      </c>
      <c r="S10" s="7">
        <f t="shared" si="7"/>
        <v>40716.17168405922</v>
      </c>
    </row>
    <row r="11" spans="1:20" x14ac:dyDescent="0.25">
      <c r="A11">
        <v>2025</v>
      </c>
      <c r="B11" t="s">
        <v>22</v>
      </c>
      <c r="C11">
        <f>$C$8-$E$8</f>
        <v>1422441</v>
      </c>
      <c r="D11" s="20">
        <f t="shared" si="10"/>
        <v>38.857030561857009</v>
      </c>
      <c r="E11">
        <f>SUM(E9:E10)</f>
        <v>19925</v>
      </c>
      <c r="F11" s="20">
        <f>SUM(F9:F10)</f>
        <v>773607.26199712523</v>
      </c>
      <c r="G11">
        <f>'Input 5yr Lookback and MSO'!$B$2</f>
        <v>19</v>
      </c>
      <c r="H11" s="20">
        <f>H9</f>
        <v>38.857030561857009</v>
      </c>
      <c r="L11" t="str">
        <f t="shared" si="0"/>
        <v>2025 Year Total</v>
      </c>
      <c r="M11" s="7">
        <f t="shared" si="1"/>
        <v>19925</v>
      </c>
      <c r="N11" s="7">
        <f t="shared" si="8"/>
        <v>50082</v>
      </c>
      <c r="O11" s="8">
        <f t="shared" si="3"/>
        <v>1.4007610860485601E-2</v>
      </c>
      <c r="P11" s="8">
        <f t="shared" si="4"/>
        <v>3.4477536111160834E-2</v>
      </c>
      <c r="Q11" s="7">
        <f t="shared" si="5"/>
        <v>1048.6842105263158</v>
      </c>
      <c r="R11" s="7">
        <f t="shared" si="6"/>
        <v>773607.26199712523</v>
      </c>
      <c r="S11" s="7">
        <f t="shared" si="7"/>
        <v>40716.17168405922</v>
      </c>
    </row>
    <row r="12" spans="1:20" x14ac:dyDescent="0.25">
      <c r="A12">
        <v>2026</v>
      </c>
      <c r="B12" t="s">
        <v>19</v>
      </c>
      <c r="C12">
        <f>$C$11-$E$11</f>
        <v>1402516</v>
      </c>
      <c r="D12" s="20">
        <f t="shared" si="10"/>
        <v>38.857030561857009</v>
      </c>
      <c r="E12">
        <v>0</v>
      </c>
      <c r="F12" s="20">
        <v>0</v>
      </c>
      <c r="G12">
        <f>'Input 5yr Lookback and MSO'!$B$2</f>
        <v>19</v>
      </c>
      <c r="H12" s="20">
        <f>D12</f>
        <v>38.857030561857009</v>
      </c>
      <c r="L12" t="str">
        <f t="shared" si="0"/>
        <v>2026 MSO</v>
      </c>
      <c r="M12" s="7">
        <f t="shared" si="1"/>
        <v>0</v>
      </c>
      <c r="N12" s="7">
        <f t="shared" si="8"/>
        <v>1175</v>
      </c>
      <c r="O12" s="8">
        <f t="shared" si="3"/>
        <v>0</v>
      </c>
      <c r="P12" s="8">
        <f t="shared" si="4"/>
        <v>8.0889550997591904E-4</v>
      </c>
      <c r="Q12" s="7">
        <f t="shared" si="5"/>
        <v>0</v>
      </c>
      <c r="R12" s="7">
        <f t="shared" si="6"/>
        <v>0</v>
      </c>
      <c r="S12" s="7">
        <f t="shared" si="7"/>
        <v>0</v>
      </c>
    </row>
    <row r="13" spans="1:20" x14ac:dyDescent="0.25">
      <c r="A13">
        <v>2026</v>
      </c>
      <c r="B13" t="s">
        <v>20</v>
      </c>
      <c r="C13">
        <f t="shared" ref="C13:C14" si="11">$C$11-$E$11</f>
        <v>1402516</v>
      </c>
      <c r="D13" s="20">
        <f t="shared" si="10"/>
        <v>38.857030561857009</v>
      </c>
      <c r="E13">
        <f>'Input UG'!C5</f>
        <v>27171</v>
      </c>
      <c r="F13" s="20">
        <f>'Input 5yr Lookback and MSO'!$E$2/'Input 5yr Lookback and MSO'!$C$2*E13</f>
        <v>1054940.1714290534</v>
      </c>
      <c r="G13">
        <f>'Input 5yr Lookback and MSO'!$B$2</f>
        <v>19</v>
      </c>
      <c r="H13" s="20" t="s">
        <v>21</v>
      </c>
      <c r="L13" t="str">
        <f t="shared" si="0"/>
        <v>2026 UG</v>
      </c>
      <c r="M13" s="7">
        <f t="shared" si="1"/>
        <v>27171</v>
      </c>
      <c r="N13" s="7">
        <f t="shared" si="8"/>
        <v>76078</v>
      </c>
      <c r="O13" s="8">
        <f t="shared" si="3"/>
        <v>1.9373041020565897E-2</v>
      </c>
      <c r="P13" s="8">
        <f t="shared" si="4"/>
        <v>5.2373746900381248E-2</v>
      </c>
      <c r="Q13" s="7">
        <f t="shared" si="5"/>
        <v>1430.0526315789473</v>
      </c>
      <c r="R13" s="7">
        <f t="shared" si="6"/>
        <v>1054940.1714290534</v>
      </c>
      <c r="S13" s="7">
        <f t="shared" si="7"/>
        <v>55523.166917318602</v>
      </c>
    </row>
    <row r="14" spans="1:20" x14ac:dyDescent="0.25">
      <c r="A14">
        <v>2026</v>
      </c>
      <c r="B14" t="s">
        <v>22</v>
      </c>
      <c r="C14">
        <f t="shared" si="11"/>
        <v>1402516</v>
      </c>
      <c r="D14" s="20">
        <f t="shared" si="10"/>
        <v>38.857030561857009</v>
      </c>
      <c r="E14">
        <f>SUM(E12:E13)</f>
        <v>27171</v>
      </c>
      <c r="F14" s="20">
        <f>SUM(F12:F13)</f>
        <v>1054940.1714290534</v>
      </c>
      <c r="G14">
        <f>'Input 5yr Lookback and MSO'!$B$2</f>
        <v>19</v>
      </c>
      <c r="H14" s="20">
        <f>H12</f>
        <v>38.857030561857009</v>
      </c>
      <c r="L14" t="str">
        <f t="shared" si="0"/>
        <v>2026 Year Total</v>
      </c>
      <c r="M14" s="7">
        <f t="shared" si="1"/>
        <v>27171</v>
      </c>
      <c r="N14" s="7">
        <f t="shared" si="8"/>
        <v>77253</v>
      </c>
      <c r="O14" s="8">
        <f t="shared" si="3"/>
        <v>1.9373041020565897E-2</v>
      </c>
      <c r="P14" s="8">
        <f t="shared" si="4"/>
        <v>5.3182642410357167E-2</v>
      </c>
      <c r="Q14" s="7">
        <f t="shared" si="5"/>
        <v>1430.0526315789473</v>
      </c>
      <c r="R14" s="7">
        <f t="shared" si="6"/>
        <v>1054940.1714290534</v>
      </c>
      <c r="S14" s="7">
        <f t="shared" si="7"/>
        <v>55523.166917318602</v>
      </c>
      <c r="T14" s="12"/>
    </row>
    <row r="16" spans="1:20" x14ac:dyDescent="0.25">
      <c r="A16" s="16" t="s">
        <v>23</v>
      </c>
    </row>
    <row r="17" spans="1:19" x14ac:dyDescent="0.25">
      <c r="A17">
        <v>1.1020000000000001</v>
      </c>
      <c r="M17" s="6"/>
      <c r="N17" s="6"/>
      <c r="O17" s="6"/>
      <c r="P17" s="6"/>
      <c r="Q17" s="6"/>
    </row>
    <row r="18" spans="1:19" x14ac:dyDescent="0.25">
      <c r="L18" s="6"/>
      <c r="M18" s="9"/>
      <c r="N18" s="9"/>
      <c r="O18" s="9"/>
      <c r="P18" s="9"/>
      <c r="Q18" s="9"/>
      <c r="R18" s="10"/>
      <c r="S18" s="10"/>
    </row>
    <row r="19" spans="1:19" x14ac:dyDescent="0.25">
      <c r="L19" s="6"/>
      <c r="M19" s="8"/>
      <c r="N19" s="8"/>
      <c r="O19" s="9"/>
      <c r="P19" s="9"/>
      <c r="Q19" s="8"/>
      <c r="R19" s="11"/>
      <c r="S19" s="12"/>
    </row>
    <row r="20" spans="1:19" x14ac:dyDescent="0.25">
      <c r="M20" s="9"/>
      <c r="N20" s="9"/>
      <c r="O20" s="9"/>
      <c r="P20" s="9"/>
      <c r="Q20" s="9"/>
    </row>
  </sheetData>
  <mergeCells count="2">
    <mergeCell ref="A1:G1"/>
    <mergeCell ref="L1:S1"/>
  </mergeCells>
  <pageMargins left="0.7" right="0.7" top="0.75" bottom="0.75" header="0.3" footer="0.3"/>
  <pageSetup orientation="portrait" horizontalDpi="1200" verticalDpi="1200" r:id="rId1"/>
  <headerFooter>
    <oddHeader>&amp;RWMP-Discovery2023_DR_TURN_004-Q002Atch01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A14EC-43A2-4A30-8586-BD9BE8CB47DF}">
  <dimension ref="A1:C5"/>
  <sheetViews>
    <sheetView tabSelected="1" workbookViewId="0">
      <selection activeCell="B3" sqref="B3"/>
    </sheetView>
  </sheetViews>
  <sheetFormatPr defaultRowHeight="15" x14ac:dyDescent="0.25"/>
  <cols>
    <col min="1" max="1" width="5" bestFit="1" customWidth="1"/>
    <col min="3" max="3" width="29.28515625" bestFit="1" customWidth="1"/>
  </cols>
  <sheetData>
    <row r="1" spans="1:3" ht="15.75" thickBot="1" x14ac:dyDescent="0.3">
      <c r="A1" s="2" t="s">
        <v>11</v>
      </c>
      <c r="B1" s="3" t="s">
        <v>24</v>
      </c>
      <c r="C1" s="3" t="s">
        <v>25</v>
      </c>
    </row>
    <row r="2" spans="1:3" ht="15.75" thickBot="1" x14ac:dyDescent="0.3">
      <c r="A2" s="4">
        <v>2023</v>
      </c>
      <c r="B2" s="1">
        <v>350</v>
      </c>
      <c r="C2" s="1">
        <v>12680</v>
      </c>
    </row>
    <row r="3" spans="1:3" ht="15.75" thickBot="1" x14ac:dyDescent="0.3">
      <c r="A3" s="4">
        <v>2024</v>
      </c>
      <c r="B3" s="1">
        <v>450</v>
      </c>
      <c r="C3" s="1">
        <v>16302</v>
      </c>
    </row>
    <row r="4" spans="1:3" ht="15.75" thickBot="1" x14ac:dyDescent="0.3">
      <c r="A4" s="4">
        <v>2025</v>
      </c>
      <c r="B4" s="1">
        <v>550</v>
      </c>
      <c r="C4" s="1">
        <v>19925</v>
      </c>
    </row>
    <row r="5" spans="1:3" ht="15.75" thickBot="1" x14ac:dyDescent="0.3">
      <c r="A5" s="4">
        <v>2026</v>
      </c>
      <c r="B5" s="1">
        <v>750</v>
      </c>
      <c r="C5" s="1">
        <v>27171</v>
      </c>
    </row>
  </sheetData>
  <pageMargins left="0.7" right="0.7" top="0.75" bottom="0.75" header="0.3" footer="0.3"/>
  <pageSetup orientation="portrait" horizontalDpi="1200" verticalDpi="1200" r:id="rId1"/>
  <headerFooter>
    <oddHeader>&amp;RWMP-Discovery2023_DR_TURN_004-Q002Atch01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98549-DC24-4C88-8F80-9827537361FC}">
  <dimension ref="B1:J4"/>
  <sheetViews>
    <sheetView tabSelected="1" zoomScale="130" zoomScaleNormal="130" workbookViewId="0">
      <selection activeCell="B3" sqref="B3"/>
    </sheetView>
  </sheetViews>
  <sheetFormatPr defaultRowHeight="15" x14ac:dyDescent="0.25"/>
  <cols>
    <col min="2" max="2" width="29.140625" bestFit="1" customWidth="1"/>
    <col min="3" max="3" width="43.5703125" bestFit="1" customWidth="1"/>
    <col min="4" max="4" width="67.28515625" bestFit="1" customWidth="1"/>
    <col min="5" max="5" width="43.42578125" bestFit="1" customWidth="1"/>
    <col min="6" max="6" width="56.42578125" bestFit="1" customWidth="1"/>
    <col min="7" max="7" width="67.28515625" bestFit="1" customWidth="1"/>
    <col min="8" max="8" width="56.42578125" bestFit="1" customWidth="1"/>
    <col min="9" max="9" width="72" bestFit="1" customWidth="1"/>
    <col min="10" max="10" width="66" bestFit="1" customWidth="1"/>
  </cols>
  <sheetData>
    <row r="1" spans="2:10" x14ac:dyDescent="0.25">
      <c r="B1" t="s">
        <v>26</v>
      </c>
      <c r="C1" t="s">
        <v>27</v>
      </c>
      <c r="D1" t="s">
        <v>28</v>
      </c>
      <c r="E1" t="s">
        <v>29</v>
      </c>
      <c r="F1" t="s">
        <v>30</v>
      </c>
      <c r="G1" t="s">
        <v>31</v>
      </c>
      <c r="H1" t="s">
        <v>32</v>
      </c>
      <c r="I1" t="s">
        <v>33</v>
      </c>
      <c r="J1" t="s">
        <v>34</v>
      </c>
    </row>
    <row r="2" spans="2:10" x14ac:dyDescent="0.25">
      <c r="B2">
        <v>19</v>
      </c>
      <c r="C2">
        <v>1452598</v>
      </c>
      <c r="D2">
        <v>1451609</v>
      </c>
      <c r="E2">
        <v>56398512.5</v>
      </c>
      <c r="F2">
        <v>56398018</v>
      </c>
      <c r="G2">
        <v>1452412</v>
      </c>
      <c r="H2">
        <v>56398419.5</v>
      </c>
      <c r="I2">
        <v>1451423</v>
      </c>
      <c r="J2">
        <v>56397925</v>
      </c>
    </row>
    <row r="4" spans="2:10" x14ac:dyDescent="0.25">
      <c r="B4" s="18"/>
    </row>
  </sheetData>
  <pageMargins left="0.7" right="0.7" top="0.75" bottom="0.75" header="0.3" footer="0.3"/>
  <pageSetup orientation="portrait" horizontalDpi="1200" verticalDpi="1200" r:id="rId1"/>
  <headerFooter>
    <oddHeader>&amp;RWMP-Discovery2023_DR_TURN_004-Q002Atch01</oddHeader>
  </headerFooter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0cce852-5f9c-445c-9e4f-940f14a227d8">
      <Terms xmlns="http://schemas.microsoft.com/office/infopath/2007/PartnerControls"/>
    </lcf76f155ced4ddcb4097134ff3c332f>
    <TaxCatchAll xmlns="978b82e6-668a-48b7-921e-d900dc47415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814334-313C-4BE9-B472-44E668F3EA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36AA5E-9EA7-4062-9EEE-A46485BF3C77}">
  <ds:schemaRefs>
    <ds:schemaRef ds:uri="http://purl.org/dc/elements/1.1/"/>
    <ds:schemaRef ds:uri="http://schemas.microsoft.com/office/2006/metadata/properties"/>
    <ds:schemaRef ds:uri="http://purl.org/dc/terms/"/>
    <ds:schemaRef ds:uri="978b82e6-668a-48b7-921e-d900dc474158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0cce852-5f9c-445c-9e4f-940f14a227d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2D579F4-BFB2-4D78-8DAE-3A3AE28675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Final Table</vt:lpstr>
      <vt:lpstr>Intermediate Calc Tables</vt:lpstr>
      <vt:lpstr>Input UG</vt:lpstr>
      <vt:lpstr>Input 5yr Lookback and MSO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Chen, Tanwei</dc:creator>
  <cp:keywords/>
  <dc:description/>
  <cp:lastModifiedBy>Renner, Taylor</cp:lastModifiedBy>
  <cp:revision/>
  <dcterms:created xsi:type="dcterms:W3CDTF">2022-12-08T02:16:06Z</dcterms:created>
  <dcterms:modified xsi:type="dcterms:W3CDTF">2023-04-17T20:45:34Z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MSIP_Label_fe50d7ff-dac2-44e7-b4b1-f9f0ac2f0a92_Enabled">
    <vt:lpwstr>true</vt:lpwstr>
  </property>
  <property fmtid="{D5CDD505-2E9C-101B-9397-08002B2CF9AE}" pid="5" name="MSIP_Label_fe50d7ff-dac2-44e7-b4b1-f9f0ac2f0a92_SetDate">
    <vt:lpwstr>2022-12-22T17:50:12Z</vt:lpwstr>
  </property>
  <property fmtid="{D5CDD505-2E9C-101B-9397-08002B2CF9AE}" pid="6" name="MSIP_Label_fe50d7ff-dac2-44e7-b4b1-f9f0ac2f0a92_Method">
    <vt:lpwstr>Privileged</vt:lpwstr>
  </property>
  <property fmtid="{D5CDD505-2E9C-101B-9397-08002B2CF9AE}" pid="7" name="MSIP_Label_fe50d7ff-dac2-44e7-b4b1-f9f0ac2f0a92_Name">
    <vt:lpwstr>Internal</vt:lpwstr>
  </property>
  <property fmtid="{D5CDD505-2E9C-101B-9397-08002B2CF9AE}" pid="8" name="MSIP_Label_fe50d7ff-dac2-44e7-b4b1-f9f0ac2f0a92_SiteId">
    <vt:lpwstr>44ae661a-ece6-41aa-bc96-7c2c85a08941</vt:lpwstr>
  </property>
  <property fmtid="{D5CDD505-2E9C-101B-9397-08002B2CF9AE}" pid="9" name="MSIP_Label_fe50d7ff-dac2-44e7-b4b1-f9f0ac2f0a92_ActionId">
    <vt:lpwstr>ec8b0731-5624-42e1-9da6-ee93a10a9324</vt:lpwstr>
  </property>
  <property fmtid="{D5CDD505-2E9C-101B-9397-08002B2CF9AE}" pid="10" name="MSIP_Label_fe50d7ff-dac2-44e7-b4b1-f9f0ac2f0a92_ContentBits">
    <vt:lpwstr>3</vt:lpwstr>
  </property>
</Properties>
</file>